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  <sheet name="грудень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<sst xmlns="http://schemas.openxmlformats.org/spreadsheetml/2006/main" count="415" uniqueCount="153">
  <si>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</si>
  <si>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</si>
  <si>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</si>
  <si>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</si>
  <si>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</si>
  <si>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</si>
  <si>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</si>
  <si>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</si>
  <si>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</si>
  <si>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</si>
  <si>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</si>
  <si>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</si>
  <si>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</si>
  <si>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</si>
  <si>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</si>
  <si>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</si>
  <si>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</si>
  <si>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</si>
  <si>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</si>
  <si>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</si>
  <si>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</si>
  <si>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</si>
  <si>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</si>
  <si>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</si>
  <si>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</si>
  <si>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</si>
  <si>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</si>
  <si>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</si>
  <si>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</si>
  <si>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</si>
  <si>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</si>
  <si>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</si>
  <si>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</si>
  <si>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</si>
  <si>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</si>
  <si>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</si>
  <si>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</si>
  <si>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</si>
  <si>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</si>
  <si>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</si>
  <si>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</si>
  <si>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</si>
  <si>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</si>
  <si>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</si>
  <si>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</si>
  <si>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</si>
  <si>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</si>
  <si>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</si>
  <si>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</si>
  <si>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</si>
  <si>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</si>
  <si>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</si>
  <si>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</si>
  <si>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</si>
  <si>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</si>
  <si>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</si>
  <si>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</si>
  <si>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</si>
  <si>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</si>
  <si>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</si>
  <si>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</si>
  <si>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</si>
  <si>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</si>
  <si>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</si>
  <si>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</si>
  <si>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</si>
  <si>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</si>
  <si>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</si>
  <si>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</si>
  <si>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</si>
  <si>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</si>
  <si>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</si>
  <si>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</si>
  <si>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</si>
  <si>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</si>
  <si>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</si>
  <si>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</si>
  <si>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</si>
  <si>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</si>
  <si>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</si>
  <si>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</si>
  <si>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</si>
  <si>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</si>
  <si>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</si>
  <si>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</si>
  <si>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</si>
  <si>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</si>
  <si>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</si>
  <si>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</si>
  <si>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</si>
  <si>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</si>
  <si>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</si>
  <si>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</si>
  <si>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</si>
  <si>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</si>
  <si>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</si>
  <si>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</si>
  <si>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</si>
  <si>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</si>
  <si>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</si>
  <si>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</si>
  <si>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</si>
  <si>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</si>
  <si>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</si>
  <si>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</si>
  <si>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</si>
  <si>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</si>
  <si>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</si>
  <si>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</si>
  <si>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</si>
  <si>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</si>
  <si>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</si>
  <si>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</si>
  <si>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</si>
  <si>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</si>
  <si>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</si>
  <si>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</si>
  <si>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</si>
  <si>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</si>
  <si>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</si>
  <si>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</si>
  <si>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</si>
  <si>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</si>
  <si>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</si>
  <si>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</si>
  <si>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</si>
  <si>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</si>
  <si>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</si>
  <si>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</si>
  <si>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</si>
  <si>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</si>
  <si>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</si>
  <si>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</si>
  <si>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</si>
  <si>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</si>
  <si>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</si>
  <si>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</si>
  <si>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</si>
  <si>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</si>
  <si>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</si>
  <si>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</si>
  <si>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</si>
  <si>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</si>
  <si>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</si>
  <si>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</si>
  <si>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</si>
  <si>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</si>
  <si>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</si>
  <si>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</si>
  <si>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</si>
  <si>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</si>
  <si>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</si>
  <si>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06.02.17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</si>
</sst>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228202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8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134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145</v>
      </c>
      <c r="O3" s="251" t="s">
        <v>149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150</v>
      </c>
      <c r="F4" s="254" t="s">
        <v>33</v>
      </c>
      <c r="G4" s="256" t="s">
        <v>146</v>
      </c>
      <c r="H4" s="249" t="s">
        <v>147</v>
      </c>
      <c r="I4" s="256" t="s">
        <v>138</v>
      </c>
      <c r="J4" s="249" t="s">
        <v>139</v>
      </c>
      <c r="K4" s="85" t="s">
        <v>141</v>
      </c>
      <c r="L4" s="204" t="s">
        <v>113</v>
      </c>
      <c r="M4" s="90" t="s">
        <v>63</v>
      </c>
      <c r="N4" s="249"/>
      <c r="O4" s="258" t="s">
        <v>152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148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107189.90000000001</v>
      </c>
      <c r="G8" s="151">
        <f aca="true" t="shared" si="0" ref="G8:G37">F8-E8</f>
        <v>-89055.59999999999</v>
      </c>
      <c r="H8" s="152">
        <f>F8/E8*100</f>
        <v>54.620309765064675</v>
      </c>
      <c r="I8" s="153">
        <f>F8-D8</f>
        <v>-1191261.2000000002</v>
      </c>
      <c r="J8" s="153">
        <f>F8/D8*100</f>
        <v>8.255212691490655</v>
      </c>
      <c r="K8" s="151">
        <v>140423.02</v>
      </c>
      <c r="L8" s="151">
        <f aca="true" t="shared" si="1" ref="L8:L51">F8-K8</f>
        <v>-33233.11999999998</v>
      </c>
      <c r="M8" s="205">
        <f aca="true" t="shared" si="2" ref="M8:M28">F8/K8</f>
        <v>0.7633356696074477</v>
      </c>
      <c r="N8" s="151">
        <f>N9+N15+N18+N19+N20+N17</f>
        <v>101878</v>
      </c>
      <c r="O8" s="151">
        <f>O9+O15+O18+O19+O20+O17</f>
        <v>13332.930000000002</v>
      </c>
      <c r="P8" s="151">
        <f>O8-N8</f>
        <v>-88545.06999999999</v>
      </c>
      <c r="Q8" s="151">
        <f>O8/N8*100</f>
        <v>13.087153261744442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54841.7</v>
      </c>
      <c r="G9" s="150">
        <f t="shared" si="0"/>
        <v>-47358.3</v>
      </c>
      <c r="H9" s="157">
        <f>F9/E9*100</f>
        <v>53.66115459882583</v>
      </c>
      <c r="I9" s="158">
        <f>F9-D9</f>
        <v>-711803.3</v>
      </c>
      <c r="J9" s="158">
        <f>F9/D9*100</f>
        <v>7.153467380599886</v>
      </c>
      <c r="K9" s="227">
        <v>70324.6</v>
      </c>
      <c r="L9" s="159">
        <f t="shared" si="1"/>
        <v>-15482.900000000009</v>
      </c>
      <c r="M9" s="206">
        <f t="shared" si="2"/>
        <v>0.7798366432229973</v>
      </c>
      <c r="N9" s="157">
        <f>E9-'січень 17'!E9</f>
        <v>54500</v>
      </c>
      <c r="O9" s="160">
        <f>F9-'січень 17'!F9</f>
        <v>7916.769999999997</v>
      </c>
      <c r="P9" s="161">
        <f>O9-N9</f>
        <v>-46583.23</v>
      </c>
      <c r="Q9" s="158">
        <f>O9/N9*100</f>
        <v>14.526183486238525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50785.92</v>
      </c>
      <c r="G10" s="103">
        <f t="shared" si="0"/>
        <v>-41562.08</v>
      </c>
      <c r="H10" s="30">
        <f aca="true" t="shared" si="3" ref="H10:H36">F10/E10*100</f>
        <v>54.99406592454628</v>
      </c>
      <c r="I10" s="104">
        <f aca="true" t="shared" si="4" ref="I10:I37">F10-D10</f>
        <v>-650531.08</v>
      </c>
      <c r="J10" s="104">
        <f aca="true" t="shared" si="5" ref="J10:J36">F10/D10*100</f>
        <v>7.2415070503067795</v>
      </c>
      <c r="K10" s="106">
        <v>62213.95</v>
      </c>
      <c r="L10" s="106">
        <f t="shared" si="1"/>
        <v>-11428.029999999999</v>
      </c>
      <c r="M10" s="207">
        <f t="shared" si="2"/>
        <v>0.8163108113212552</v>
      </c>
      <c r="N10" s="105">
        <f>E10-'січень 17'!E10</f>
        <v>49064</v>
      </c>
      <c r="O10" s="144">
        <f>F10-'січень 17'!F10</f>
        <v>7642.989999999998</v>
      </c>
      <c r="P10" s="106">
        <f aca="true" t="shared" si="6" ref="P10:P37">O10-N10</f>
        <v>-41421.01</v>
      </c>
      <c r="Q10" s="104">
        <f aca="true" t="shared" si="7" ref="Q10:Q18">O10/N10*100</f>
        <v>15.577592532202832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2681.7</v>
      </c>
      <c r="G11" s="103">
        <f t="shared" si="0"/>
        <v>-4518.3</v>
      </c>
      <c r="H11" s="30">
        <f t="shared" si="3"/>
        <v>37.24583333333334</v>
      </c>
      <c r="I11" s="104">
        <f t="shared" si="4"/>
        <v>-43824.3</v>
      </c>
      <c r="J11" s="104">
        <f t="shared" si="5"/>
        <v>5.76635272868017</v>
      </c>
      <c r="K11" s="106">
        <v>5319.16</v>
      </c>
      <c r="L11" s="106">
        <f t="shared" si="1"/>
        <v>-2637.46</v>
      </c>
      <c r="M11" s="207">
        <f t="shared" si="2"/>
        <v>0.5041585513502131</v>
      </c>
      <c r="N11" s="105">
        <f>E11-'січень 17'!E11</f>
        <v>3600</v>
      </c>
      <c r="O11" s="144">
        <f>F11-'січень 17'!F11</f>
        <v>0</v>
      </c>
      <c r="P11" s="106">
        <f t="shared" si="6"/>
        <v>-3600</v>
      </c>
      <c r="Q11" s="104">
        <f t="shared" si="7"/>
        <v>0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588.7</v>
      </c>
      <c r="G12" s="103">
        <f t="shared" si="0"/>
        <v>-251.29999999999995</v>
      </c>
      <c r="H12" s="30">
        <f t="shared" si="3"/>
        <v>70.08333333333334</v>
      </c>
      <c r="I12" s="104">
        <f t="shared" si="4"/>
        <v>-7691.3</v>
      </c>
      <c r="J12" s="104">
        <f t="shared" si="5"/>
        <v>7.109903381642512</v>
      </c>
      <c r="K12" s="106">
        <v>822.03</v>
      </c>
      <c r="L12" s="106">
        <f t="shared" si="1"/>
        <v>-233.32999999999993</v>
      </c>
      <c r="M12" s="207">
        <f t="shared" si="2"/>
        <v>0.7161539116577255</v>
      </c>
      <c r="N12" s="105">
        <f>E12-'січень 17'!E12</f>
        <v>420</v>
      </c>
      <c r="O12" s="144">
        <f>F12-'січень 17'!F12</f>
        <v>88.27000000000004</v>
      </c>
      <c r="P12" s="106">
        <f t="shared" si="6"/>
        <v>-331.72999999999996</v>
      </c>
      <c r="Q12" s="104">
        <f t="shared" si="7"/>
        <v>21.016666666666676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660.82</v>
      </c>
      <c r="G13" s="103">
        <f t="shared" si="0"/>
        <v>-959.18</v>
      </c>
      <c r="H13" s="30">
        <f t="shared" si="3"/>
        <v>40.79135802469136</v>
      </c>
      <c r="I13" s="104">
        <f t="shared" si="4"/>
        <v>-8729.18</v>
      </c>
      <c r="J13" s="104">
        <f t="shared" si="5"/>
        <v>7.037486687965922</v>
      </c>
      <c r="K13" s="106">
        <v>1514.49</v>
      </c>
      <c r="L13" s="106">
        <f t="shared" si="1"/>
        <v>-853.67</v>
      </c>
      <c r="M13" s="207">
        <f t="shared" si="2"/>
        <v>0.43633170242127717</v>
      </c>
      <c r="N13" s="105">
        <f>E13-'січень 17'!E13</f>
        <v>1320</v>
      </c>
      <c r="O13" s="144">
        <f>F13-'січень 17'!F13</f>
        <v>161.46000000000004</v>
      </c>
      <c r="P13" s="106">
        <f t="shared" si="6"/>
        <v>-1158.54</v>
      </c>
      <c r="Q13" s="104">
        <f t="shared" si="7"/>
        <v>12.231818181818184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124.56</v>
      </c>
      <c r="G14" s="103">
        <f t="shared" si="0"/>
        <v>-67.44</v>
      </c>
      <c r="H14" s="30">
        <f t="shared" si="3"/>
        <v>64.875</v>
      </c>
      <c r="I14" s="104">
        <f t="shared" si="4"/>
        <v>-1027.44</v>
      </c>
      <c r="J14" s="104">
        <f t="shared" si="5"/>
        <v>10.8125</v>
      </c>
      <c r="K14" s="106">
        <v>454.97</v>
      </c>
      <c r="L14" s="106">
        <f t="shared" si="1"/>
        <v>-330.41</v>
      </c>
      <c r="M14" s="207">
        <f t="shared" si="2"/>
        <v>0.2737762929423918</v>
      </c>
      <c r="N14" s="105">
        <f>E14-'січень 17'!E14</f>
        <v>96</v>
      </c>
      <c r="O14" s="144">
        <f>F14-'січень 17'!F14</f>
        <v>24.060000000000002</v>
      </c>
      <c r="P14" s="106">
        <f t="shared" si="6"/>
        <v>-71.94</v>
      </c>
      <c r="Q14" s="104">
        <f t="shared" si="7"/>
        <v>25.062500000000004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1.23</v>
      </c>
      <c r="G15" s="150">
        <f t="shared" si="0"/>
        <v>-49.77</v>
      </c>
      <c r="H15" s="157">
        <f>F15/E15/100</f>
        <v>0.00024117647058823527</v>
      </c>
      <c r="I15" s="158">
        <f t="shared" si="4"/>
        <v>-549.77</v>
      </c>
      <c r="J15" s="158">
        <f t="shared" si="5"/>
        <v>0.2232304900181488</v>
      </c>
      <c r="K15" s="161">
        <v>85.14</v>
      </c>
      <c r="L15" s="161">
        <f t="shared" si="1"/>
        <v>-83.91</v>
      </c>
      <c r="M15" s="208">
        <f t="shared" si="2"/>
        <v>0.014446793516560958</v>
      </c>
      <c r="N15" s="137">
        <f>E15-'січень 17'!E15</f>
        <v>51</v>
      </c>
      <c r="O15" s="145">
        <f>F15-'січень 17'!F15</f>
        <v>1.23</v>
      </c>
      <c r="P15" s="161">
        <f t="shared" si="6"/>
        <v>-49.77</v>
      </c>
      <c r="Q15" s="158">
        <f t="shared" si="7"/>
        <v>2.411764705882353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0</v>
      </c>
      <c r="G18" s="150">
        <f t="shared" si="0"/>
        <v>-70</v>
      </c>
      <c r="H18" s="157">
        <f>F18/E18/100</f>
        <v>0</v>
      </c>
      <c r="I18" s="158">
        <f t="shared" si="4"/>
        <v>-125</v>
      </c>
      <c r="J18" s="158">
        <f t="shared" si="5"/>
        <v>0</v>
      </c>
      <c r="K18" s="161">
        <v>105.8</v>
      </c>
      <c r="L18" s="161">
        <f t="shared" si="1"/>
        <v>-105.8</v>
      </c>
      <c r="M18" s="208">
        <f t="shared" si="2"/>
        <v>0</v>
      </c>
      <c r="N18" s="157">
        <f>E18-'січень 17'!E18</f>
        <v>70</v>
      </c>
      <c r="O18" s="160">
        <f>F18-'січень 17'!F18</f>
        <v>0</v>
      </c>
      <c r="P18" s="161">
        <f t="shared" si="6"/>
        <v>-70</v>
      </c>
      <c r="Q18" s="158">
        <f t="shared" si="7"/>
        <v>0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9770.76</v>
      </c>
      <c r="G19" s="150">
        <f t="shared" si="0"/>
        <v>-8229.24</v>
      </c>
      <c r="H19" s="157">
        <f t="shared" si="3"/>
        <v>54.282</v>
      </c>
      <c r="I19" s="158">
        <f t="shared" si="4"/>
        <v>-120229.24</v>
      </c>
      <c r="J19" s="158">
        <f t="shared" si="5"/>
        <v>7.515969230769231</v>
      </c>
      <c r="K19" s="169">
        <v>10861</v>
      </c>
      <c r="L19" s="161">
        <f t="shared" si="1"/>
        <v>-1090.2399999999998</v>
      </c>
      <c r="M19" s="213">
        <f t="shared" si="2"/>
        <v>0.8996188196298683</v>
      </c>
      <c r="N19" s="157">
        <f>E19-'січень 17'!E19</f>
        <v>8300</v>
      </c>
      <c r="O19" s="160">
        <f>F19-'січень 17'!F19</f>
        <v>19.01000000000022</v>
      </c>
      <c r="P19" s="161">
        <f t="shared" si="6"/>
        <v>-8280.99</v>
      </c>
      <c r="Q19" s="158">
        <f aca="true" t="shared" si="9" ref="Q19:Q24">O19/N19*100</f>
        <v>0.2290361445783159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42576.21000000001</v>
      </c>
      <c r="G20" s="150">
        <f t="shared" si="0"/>
        <v>-33348.28999999999</v>
      </c>
      <c r="H20" s="157">
        <f t="shared" si="3"/>
        <v>56.07703705654961</v>
      </c>
      <c r="I20" s="158">
        <f t="shared" si="4"/>
        <v>-358553.88999999996</v>
      </c>
      <c r="J20" s="158">
        <f t="shared" si="5"/>
        <v>10.614065112540796</v>
      </c>
      <c r="K20" s="158">
        <v>59046.44</v>
      </c>
      <c r="L20" s="161">
        <f t="shared" si="1"/>
        <v>-16470.229999999996</v>
      </c>
      <c r="M20" s="209">
        <f t="shared" si="2"/>
        <v>0.7210631157441499</v>
      </c>
      <c r="N20" s="157">
        <f>E20-'січень 17'!E20</f>
        <v>38957</v>
      </c>
      <c r="O20" s="160">
        <f>F20-'січень 17'!F20</f>
        <v>5395.9200000000055</v>
      </c>
      <c r="P20" s="161">
        <f t="shared" si="6"/>
        <v>-33561.079999999994</v>
      </c>
      <c r="Q20" s="158">
        <f t="shared" si="9"/>
        <v>13.850963883255913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17051.7</v>
      </c>
      <c r="G21" s="150">
        <f t="shared" si="0"/>
        <v>-15029.099999999999</v>
      </c>
      <c r="H21" s="157">
        <f t="shared" si="3"/>
        <v>53.15235280915688</v>
      </c>
      <c r="I21" s="158">
        <f t="shared" si="4"/>
        <v>-189569.3</v>
      </c>
      <c r="J21" s="158">
        <f t="shared" si="5"/>
        <v>8.252646149229749</v>
      </c>
      <c r="K21" s="158">
        <v>25484.06</v>
      </c>
      <c r="L21" s="161">
        <f t="shared" si="1"/>
        <v>-8432.36</v>
      </c>
      <c r="M21" s="209">
        <f t="shared" si="2"/>
        <v>0.6691123784828634</v>
      </c>
      <c r="N21" s="157">
        <f>E21-'січень 17'!E21</f>
        <v>15335</v>
      </c>
      <c r="O21" s="160">
        <f>F21-'січень 17'!F21</f>
        <v>531.4200000000019</v>
      </c>
      <c r="P21" s="161">
        <f t="shared" si="6"/>
        <v>-14803.579999999998</v>
      </c>
      <c r="Q21" s="158">
        <f t="shared" si="9"/>
        <v>3.465405934137606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3883.95</v>
      </c>
      <c r="G22" s="171">
        <f t="shared" si="0"/>
        <v>-491.0500000000002</v>
      </c>
      <c r="H22" s="173">
        <f t="shared" si="3"/>
        <v>88.776</v>
      </c>
      <c r="I22" s="174">
        <f t="shared" si="4"/>
        <v>-18925.05</v>
      </c>
      <c r="J22" s="174">
        <f t="shared" si="5"/>
        <v>17.028146784164143</v>
      </c>
      <c r="K22" s="175">
        <v>3552.77</v>
      </c>
      <c r="L22" s="166">
        <f t="shared" si="1"/>
        <v>331.17999999999984</v>
      </c>
      <c r="M22" s="215">
        <f t="shared" si="2"/>
        <v>1.0932174050107382</v>
      </c>
      <c r="N22" s="195">
        <f>E22-'січень 17'!E22</f>
        <v>225</v>
      </c>
      <c r="O22" s="179">
        <f>F22-'січень 17'!F22</f>
        <v>64.33999999999969</v>
      </c>
      <c r="P22" s="177">
        <f t="shared" si="6"/>
        <v>-160.6600000000003</v>
      </c>
      <c r="Q22" s="174">
        <f t="shared" si="9"/>
        <v>28.595555555555418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123.46</v>
      </c>
      <c r="G23" s="198">
        <f t="shared" si="0"/>
        <v>-71.54</v>
      </c>
      <c r="H23" s="199">
        <f t="shared" si="3"/>
        <v>63.31282051282051</v>
      </c>
      <c r="I23" s="200">
        <f t="shared" si="4"/>
        <v>-1698.84</v>
      </c>
      <c r="J23" s="200">
        <f t="shared" si="5"/>
        <v>6.7749547275421165</v>
      </c>
      <c r="K23" s="200">
        <v>146.88</v>
      </c>
      <c r="L23" s="200">
        <f t="shared" si="1"/>
        <v>-23.42</v>
      </c>
      <c r="M23" s="228">
        <f t="shared" si="2"/>
        <v>0.8405501089324618</v>
      </c>
      <c r="N23" s="237">
        <f>E23-'січень 17'!E23</f>
        <v>55</v>
      </c>
      <c r="O23" s="237">
        <f>F23-'січень 17'!F23</f>
        <v>3.089999999999989</v>
      </c>
      <c r="P23" s="200">
        <f t="shared" si="6"/>
        <v>-51.91000000000001</v>
      </c>
      <c r="Q23" s="200">
        <f t="shared" si="9"/>
        <v>5.618181818181799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3760.49</v>
      </c>
      <c r="G24" s="198">
        <f t="shared" si="0"/>
        <v>-419.5100000000002</v>
      </c>
      <c r="H24" s="199">
        <f t="shared" si="3"/>
        <v>89.96387559808612</v>
      </c>
      <c r="I24" s="200">
        <f t="shared" si="4"/>
        <v>-17226.21</v>
      </c>
      <c r="J24" s="200">
        <f t="shared" si="5"/>
        <v>17.91844358569951</v>
      </c>
      <c r="K24" s="200">
        <v>3405.89</v>
      </c>
      <c r="L24" s="200">
        <f t="shared" si="1"/>
        <v>354.5999999999999</v>
      </c>
      <c r="M24" s="228">
        <f t="shared" si="2"/>
        <v>1.1041137558758503</v>
      </c>
      <c r="N24" s="237">
        <f>E24-'січень 17'!E24</f>
        <v>170</v>
      </c>
      <c r="O24" s="237">
        <f>F24-'січень 17'!F24</f>
        <v>61.25</v>
      </c>
      <c r="P24" s="200">
        <f t="shared" si="6"/>
        <v>-108.75</v>
      </c>
      <c r="Q24" s="200">
        <f t="shared" si="9"/>
        <v>36.029411764705884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52.08</v>
      </c>
      <c r="G25" s="171">
        <f t="shared" si="0"/>
        <v>1.2800000000000011</v>
      </c>
      <c r="H25" s="173">
        <f t="shared" si="3"/>
        <v>102.51968503937007</v>
      </c>
      <c r="I25" s="174">
        <f t="shared" si="4"/>
        <v>-767.92</v>
      </c>
      <c r="J25" s="174">
        <f t="shared" si="5"/>
        <v>6.351219512195122</v>
      </c>
      <c r="K25" s="174">
        <v>174.21</v>
      </c>
      <c r="L25" s="174">
        <f t="shared" si="1"/>
        <v>-122.13000000000001</v>
      </c>
      <c r="M25" s="212">
        <f t="shared" si="2"/>
        <v>0.2989495436542104</v>
      </c>
      <c r="N25" s="195">
        <f>E25-'січень 17'!E25</f>
        <v>5</v>
      </c>
      <c r="O25" s="179">
        <f>F25-'січень 17'!F25</f>
        <v>0</v>
      </c>
      <c r="P25" s="177">
        <f t="shared" si="6"/>
        <v>-5</v>
      </c>
      <c r="Q25" s="174">
        <f>O25/N25*100</f>
        <v>0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13115.67</v>
      </c>
      <c r="G26" s="171">
        <f t="shared" si="0"/>
        <v>-14539.33</v>
      </c>
      <c r="H26" s="173">
        <f t="shared" si="3"/>
        <v>47.42603507503164</v>
      </c>
      <c r="I26" s="174">
        <f t="shared" si="4"/>
        <v>-169876.33</v>
      </c>
      <c r="J26" s="174">
        <f t="shared" si="5"/>
        <v>7.1673461134913</v>
      </c>
      <c r="K26" s="175">
        <v>21757.07</v>
      </c>
      <c r="L26" s="175">
        <f t="shared" si="1"/>
        <v>-8641.4</v>
      </c>
      <c r="M26" s="211">
        <f t="shared" si="2"/>
        <v>0.6028233581084218</v>
      </c>
      <c r="N26" s="195">
        <f>E26-'січень 17'!E26</f>
        <v>15105</v>
      </c>
      <c r="O26" s="179">
        <f>F26-'січень 17'!F26</f>
        <v>467.0799999999999</v>
      </c>
      <c r="P26" s="177">
        <f t="shared" si="6"/>
        <v>-14637.92</v>
      </c>
      <c r="Q26" s="174">
        <f>O26/N26*100</f>
        <v>3.0922211188348223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3894.99</v>
      </c>
      <c r="G27" s="198">
        <f t="shared" si="0"/>
        <v>-4285.01</v>
      </c>
      <c r="H27" s="199">
        <f t="shared" si="3"/>
        <v>47.61601466992665</v>
      </c>
      <c r="I27" s="200">
        <f t="shared" si="4"/>
        <v>-53638.01</v>
      </c>
      <c r="J27" s="200">
        <f t="shared" si="5"/>
        <v>6.770010254984096</v>
      </c>
      <c r="K27" s="200">
        <v>6708.33</v>
      </c>
      <c r="L27" s="200">
        <f t="shared" si="1"/>
        <v>-2813.34</v>
      </c>
      <c r="M27" s="228">
        <f t="shared" si="2"/>
        <v>0.580619915835983</v>
      </c>
      <c r="N27" s="237">
        <f>E27-'січень 17'!E27</f>
        <v>4650</v>
      </c>
      <c r="O27" s="237">
        <f>F27-'січень 17'!F27</f>
        <v>95.12999999999965</v>
      </c>
      <c r="P27" s="200">
        <f t="shared" si="6"/>
        <v>-4554.870000000001</v>
      </c>
      <c r="Q27" s="200">
        <f>O27/N27*100</f>
        <v>2.0458064516128958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9220.68</v>
      </c>
      <c r="G28" s="198">
        <f t="shared" si="0"/>
        <v>-10254.32</v>
      </c>
      <c r="H28" s="199">
        <f t="shared" si="3"/>
        <v>47.34623876765083</v>
      </c>
      <c r="I28" s="200">
        <f t="shared" si="4"/>
        <v>-116238.32</v>
      </c>
      <c r="J28" s="200">
        <f t="shared" si="5"/>
        <v>7.349556428793471</v>
      </c>
      <c r="K28" s="200">
        <v>15048.75</v>
      </c>
      <c r="L28" s="200">
        <f t="shared" si="1"/>
        <v>-5828.07</v>
      </c>
      <c r="M28" s="228">
        <f t="shared" si="2"/>
        <v>0.6127206578619487</v>
      </c>
      <c r="N28" s="237">
        <f>E28-'січень 17'!E28</f>
        <v>10455</v>
      </c>
      <c r="O28" s="237">
        <f>F28-'січень 17'!F28</f>
        <v>371.9500000000007</v>
      </c>
      <c r="P28" s="200">
        <f t="shared" si="6"/>
        <v>-10083.05</v>
      </c>
      <c r="Q28" s="200">
        <f>O28/N28*100</f>
        <v>3.5576279292204758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13.06</v>
      </c>
      <c r="G30" s="150">
        <f t="shared" si="0"/>
        <v>-1.9399999999999995</v>
      </c>
      <c r="H30" s="157">
        <f t="shared" si="3"/>
        <v>87.06666666666666</v>
      </c>
      <c r="I30" s="158">
        <f t="shared" si="4"/>
        <v>-101.94</v>
      </c>
      <c r="J30" s="158">
        <f t="shared" si="5"/>
        <v>11.356521739130434</v>
      </c>
      <c r="K30" s="158">
        <v>20.81</v>
      </c>
      <c r="L30" s="158">
        <f t="shared" si="1"/>
        <v>-7.749999999999998</v>
      </c>
      <c r="M30" s="210">
        <f>F30/K30</f>
        <v>0.6275828928399808</v>
      </c>
      <c r="N30" s="157">
        <f>E30-'січень 17'!E30</f>
        <v>12</v>
      </c>
      <c r="O30" s="160">
        <f>F30-'січень 17'!F30</f>
        <v>0</v>
      </c>
      <c r="P30" s="161">
        <f t="shared" si="6"/>
        <v>-12</v>
      </c>
      <c r="Q30" s="158">
        <f>O30/N30*100</f>
        <v>0</v>
      </c>
      <c r="R30" s="107"/>
      <c r="S30" s="108"/>
      <c r="T30" s="147">
        <f t="shared" si="8"/>
        <v>100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-3.69</v>
      </c>
      <c r="G31" s="150">
        <f t="shared" si="0"/>
        <v>-3.69</v>
      </c>
      <c r="H31" s="157"/>
      <c r="I31" s="158">
        <f t="shared" si="4"/>
        <v>-3.69</v>
      </c>
      <c r="J31" s="158"/>
      <c r="K31" s="158">
        <v>-52.93</v>
      </c>
      <c r="L31" s="158">
        <f t="shared" si="1"/>
        <v>49.24</v>
      </c>
      <c r="M31" s="210">
        <f>F31/K31</f>
        <v>0.06971471755148309</v>
      </c>
      <c r="N31" s="157">
        <f>E31-'січень 17'!E31</f>
        <v>0</v>
      </c>
      <c r="O31" s="160">
        <f>F31-'січень 17'!F31</f>
        <v>-0.7599999999999998</v>
      </c>
      <c r="P31" s="161">
        <f t="shared" si="6"/>
        <v>-0.7599999999999998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25514.94</v>
      </c>
      <c r="G32" s="162">
        <f t="shared" si="0"/>
        <v>-18313.76</v>
      </c>
      <c r="H32" s="164">
        <f t="shared" si="3"/>
        <v>58.21514213289466</v>
      </c>
      <c r="I32" s="165">
        <f t="shared" si="4"/>
        <v>-168879.16</v>
      </c>
      <c r="J32" s="165">
        <f t="shared" si="5"/>
        <v>13.125367488005036</v>
      </c>
      <c r="K32" s="178">
        <v>33594.51</v>
      </c>
      <c r="L32" s="178">
        <f>F32-K32</f>
        <v>-8079.570000000003</v>
      </c>
      <c r="M32" s="226">
        <f>F32/K32</f>
        <v>0.7594973107213052</v>
      </c>
      <c r="N32" s="157">
        <f>E32-'січень 17'!E32</f>
        <v>23609.999999999996</v>
      </c>
      <c r="O32" s="160">
        <f>F32-'січень 17'!F32</f>
        <v>4865.259999999998</v>
      </c>
      <c r="P32" s="167">
        <f t="shared" si="6"/>
        <v>-18744.739999999998</v>
      </c>
      <c r="Q32" s="165">
        <f>O32/N32*100</f>
        <v>20.606776789495974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4449.91</v>
      </c>
      <c r="G34" s="103">
        <f t="shared" si="0"/>
        <v>-4660.09</v>
      </c>
      <c r="H34" s="105">
        <f t="shared" si="3"/>
        <v>48.84643249176729</v>
      </c>
      <c r="I34" s="104">
        <f t="shared" si="4"/>
        <v>-36550.09</v>
      </c>
      <c r="J34" s="104">
        <f t="shared" si="5"/>
        <v>10.853439024390244</v>
      </c>
      <c r="K34" s="127">
        <v>8679.27</v>
      </c>
      <c r="L34" s="127">
        <f t="shared" si="1"/>
        <v>-4229.360000000001</v>
      </c>
      <c r="M34" s="216">
        <f t="shared" si="10"/>
        <v>0.512705561642857</v>
      </c>
      <c r="N34" s="105">
        <f>E34-'січень 17'!E34</f>
        <v>5610</v>
      </c>
      <c r="O34" s="144">
        <f>F34-'січень 17'!F34</f>
        <v>864.8799999999997</v>
      </c>
      <c r="P34" s="106">
        <f t="shared" si="6"/>
        <v>-4745.120000000001</v>
      </c>
      <c r="Q34" s="104">
        <f>O34/N34*100</f>
        <v>15.416755793226375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21048.92</v>
      </c>
      <c r="G35" s="103">
        <f t="shared" si="0"/>
        <v>-13651.080000000002</v>
      </c>
      <c r="H35" s="105">
        <f t="shared" si="3"/>
        <v>60.659711815561955</v>
      </c>
      <c r="I35" s="104">
        <f t="shared" si="4"/>
        <v>-132290.18</v>
      </c>
      <c r="J35" s="104">
        <f t="shared" si="5"/>
        <v>13.727040265659573</v>
      </c>
      <c r="K35" s="127">
        <v>24907.67</v>
      </c>
      <c r="L35" s="127">
        <f t="shared" si="1"/>
        <v>-3858.75</v>
      </c>
      <c r="M35" s="216">
        <f t="shared" si="10"/>
        <v>0.8450778414841693</v>
      </c>
      <c r="N35" s="105">
        <f>E35-'січень 17'!E35</f>
        <v>18000</v>
      </c>
      <c r="O35" s="144">
        <f>F35-'січень 17'!F35</f>
        <v>4000.3799999999974</v>
      </c>
      <c r="P35" s="106">
        <f t="shared" si="6"/>
        <v>-13999.620000000003</v>
      </c>
      <c r="Q35" s="104">
        <f>O35/N35*100</f>
        <v>22.22433333333332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6698.570000000001</v>
      </c>
      <c r="G38" s="151">
        <f>G39+G40+G41+G42+G43+G45+G47+G48+G49+G50+G51+G56+G57+G61</f>
        <v>-1061.9299999999994</v>
      </c>
      <c r="H38" s="152">
        <f>F38/E38*100</f>
        <v>86.16521526607582</v>
      </c>
      <c r="I38" s="153">
        <f>F38-D38</f>
        <v>-52326.43</v>
      </c>
      <c r="J38" s="153">
        <f>F38/D38*100</f>
        <v>11.34869970351546</v>
      </c>
      <c r="K38" s="151">
        <v>4916.44</v>
      </c>
      <c r="L38" s="151">
        <f t="shared" si="1"/>
        <v>1782.130000000001</v>
      </c>
      <c r="M38" s="205">
        <f t="shared" si="10"/>
        <v>1.3624838297629995</v>
      </c>
      <c r="N38" s="151">
        <f>N39+N40+N41+N42+N43+N45+N47+N48+N49+N50+N51+N56+N57+N61+N44</f>
        <v>4786.3</v>
      </c>
      <c r="O38" s="151">
        <f>O39+O40+O41+O42+O43+O45+O47+O48+O49+O50+O51+O56+O57+O61+O44</f>
        <v>2470.840000000001</v>
      </c>
      <c r="P38" s="151">
        <f>P39+P40+P41+P42+P43+P45+P47+P48+P49+P50+P51+P56+P57+P61</f>
        <v>-2308.6599999999994</v>
      </c>
      <c r="Q38" s="151">
        <f>O38/N38*100</f>
        <v>51.62317447715357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8.18</v>
      </c>
      <c r="G39" s="162">
        <f>F39-E39</f>
        <v>-71.82</v>
      </c>
      <c r="H39" s="164"/>
      <c r="I39" s="165">
        <f>F39-D39</f>
        <v>-571.82</v>
      </c>
      <c r="J39" s="165">
        <f>F39/D39*100</f>
        <v>1.410344827586207</v>
      </c>
      <c r="K39" s="165">
        <v>78.05</v>
      </c>
      <c r="L39" s="165">
        <f t="shared" si="1"/>
        <v>-69.87</v>
      </c>
      <c r="M39" s="218">
        <f t="shared" si="10"/>
        <v>0.10480461242793081</v>
      </c>
      <c r="N39" s="164">
        <f>E39-'січень 17'!E39</f>
        <v>80</v>
      </c>
      <c r="O39" s="168">
        <f>F39-'січень 17'!F39</f>
        <v>0</v>
      </c>
      <c r="P39" s="167">
        <f>O39-N39</f>
        <v>-80</v>
      </c>
      <c r="Q39" s="165">
        <f aca="true" t="shared" si="11" ref="Q39:Q62">O39/N39*100</f>
        <v>0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39.92</v>
      </c>
      <c r="G41" s="162">
        <f t="shared" si="12"/>
        <v>23.92</v>
      </c>
      <c r="H41" s="164">
        <f aca="true" t="shared" si="15" ref="H41:H62">F41/E41*100</f>
        <v>249.5</v>
      </c>
      <c r="I41" s="165">
        <f t="shared" si="13"/>
        <v>-0.0799999999999983</v>
      </c>
      <c r="J41" s="165">
        <f aca="true" t="shared" si="16" ref="J41:J62">F41/D41*100</f>
        <v>99.8</v>
      </c>
      <c r="K41" s="165">
        <v>24.38</v>
      </c>
      <c r="L41" s="165">
        <f t="shared" si="1"/>
        <v>15.540000000000003</v>
      </c>
      <c r="M41" s="218">
        <f aca="true" t="shared" si="17" ref="M41:M63">F41/K41</f>
        <v>1.6374077112387204</v>
      </c>
      <c r="N41" s="164">
        <f>E41-'січень 17'!E41</f>
        <v>6</v>
      </c>
      <c r="O41" s="168">
        <f>F41-'січень 17'!F41</f>
        <v>25.050000000000004</v>
      </c>
      <c r="P41" s="167">
        <f t="shared" si="14"/>
        <v>19.050000000000004</v>
      </c>
      <c r="Q41" s="165"/>
      <c r="R41" s="37"/>
      <c r="S41" s="94"/>
      <c r="T41" s="147">
        <f t="shared" si="8"/>
        <v>24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>
        <f>E42-'січень 17'!E42</f>
        <v>0</v>
      </c>
      <c r="O42" s="168">
        <f>F42-'січень 17'!F42</f>
        <v>0</v>
      </c>
      <c r="P42" s="167">
        <f t="shared" si="14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12.02</v>
      </c>
      <c r="G43" s="162">
        <f t="shared" si="12"/>
        <v>-27.98</v>
      </c>
      <c r="H43" s="164">
        <f t="shared" si="15"/>
        <v>30.049999999999997</v>
      </c>
      <c r="I43" s="165">
        <f t="shared" si="13"/>
        <v>-247.98</v>
      </c>
      <c r="J43" s="165">
        <f t="shared" si="16"/>
        <v>4.623076923076923</v>
      </c>
      <c r="K43" s="165">
        <v>3.65</v>
      </c>
      <c r="L43" s="165">
        <f t="shared" si="1"/>
        <v>8.37</v>
      </c>
      <c r="M43" s="218">
        <f t="shared" si="17"/>
        <v>3.293150684931507</v>
      </c>
      <c r="N43" s="164">
        <f>E43-'січень 17'!E43</f>
        <v>20</v>
      </c>
      <c r="O43" s="168">
        <f>F43-'січень 17'!F43</f>
        <v>0.8499999999999996</v>
      </c>
      <c r="P43" s="167">
        <f t="shared" si="14"/>
        <v>-19.15</v>
      </c>
      <c r="Q43" s="165">
        <f t="shared" si="11"/>
        <v>4.249999999999998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113.39</v>
      </c>
      <c r="G45" s="162">
        <f t="shared" si="12"/>
        <v>-6.609999999999999</v>
      </c>
      <c r="H45" s="164">
        <f t="shared" si="15"/>
        <v>94.49166666666666</v>
      </c>
      <c r="I45" s="165">
        <f t="shared" si="13"/>
        <v>-616.61</v>
      </c>
      <c r="J45" s="165">
        <f t="shared" si="16"/>
        <v>15.532876712328767</v>
      </c>
      <c r="K45" s="165">
        <v>0</v>
      </c>
      <c r="L45" s="165">
        <f t="shared" si="1"/>
        <v>113.39</v>
      </c>
      <c r="M45" s="218"/>
      <c r="N45" s="164">
        <f>E45-'січень 17'!E45</f>
        <v>60</v>
      </c>
      <c r="O45" s="168">
        <f>F45-'січень 17'!F45</f>
        <v>23.939999999999998</v>
      </c>
      <c r="P45" s="167">
        <f t="shared" si="14"/>
        <v>-36.06</v>
      </c>
      <c r="Q45" s="165">
        <f t="shared" si="11"/>
        <v>39.9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1235.39</v>
      </c>
      <c r="G47" s="162">
        <f t="shared" si="12"/>
        <v>-164.6099999999999</v>
      </c>
      <c r="H47" s="164">
        <f t="shared" si="15"/>
        <v>88.24214285714287</v>
      </c>
      <c r="I47" s="165">
        <f t="shared" si="13"/>
        <v>-9764.61</v>
      </c>
      <c r="J47" s="165">
        <f t="shared" si="16"/>
        <v>11.230818181818183</v>
      </c>
      <c r="K47" s="165">
        <v>1351.17</v>
      </c>
      <c r="L47" s="165">
        <f t="shared" si="1"/>
        <v>-115.77999999999997</v>
      </c>
      <c r="M47" s="218">
        <f t="shared" si="17"/>
        <v>0.9143113005765374</v>
      </c>
      <c r="N47" s="164">
        <f>E47-'січень 17'!E47</f>
        <v>800</v>
      </c>
      <c r="O47" s="168">
        <f>F47-'січень 17'!F47</f>
        <v>182.83000000000015</v>
      </c>
      <c r="P47" s="167">
        <f t="shared" si="14"/>
        <v>-617.1699999999998</v>
      </c>
      <c r="Q47" s="165">
        <f t="shared" si="11"/>
        <v>22.85375000000002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56.45</v>
      </c>
      <c r="G48" s="162">
        <f t="shared" si="12"/>
        <v>6.450000000000003</v>
      </c>
      <c r="H48" s="164">
        <f t="shared" si="15"/>
        <v>112.9</v>
      </c>
      <c r="I48" s="165">
        <f t="shared" si="13"/>
        <v>-253.55</v>
      </c>
      <c r="J48" s="165">
        <f t="shared" si="16"/>
        <v>18.20967741935484</v>
      </c>
      <c r="K48" s="165">
        <v>1.03</v>
      </c>
      <c r="L48" s="165">
        <f t="shared" si="1"/>
        <v>55.42</v>
      </c>
      <c r="M48" s="218"/>
      <c r="N48" s="164">
        <f>E48-'січень 17'!E48</f>
        <v>25</v>
      </c>
      <c r="O48" s="168">
        <f>F48-'січень 17'!F48</f>
        <v>11.920000000000002</v>
      </c>
      <c r="P48" s="167">
        <f t="shared" si="14"/>
        <v>-13.079999999999998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684.99</v>
      </c>
      <c r="G50" s="162">
        <f t="shared" si="12"/>
        <v>-515.01</v>
      </c>
      <c r="H50" s="164">
        <f t="shared" si="15"/>
        <v>57.0825</v>
      </c>
      <c r="I50" s="165">
        <f t="shared" si="13"/>
        <v>-6590.01</v>
      </c>
      <c r="J50" s="165">
        <f t="shared" si="16"/>
        <v>9.415670103092785</v>
      </c>
      <c r="K50" s="165">
        <v>1303.34</v>
      </c>
      <c r="L50" s="165">
        <f t="shared" si="1"/>
        <v>-618.3499999999999</v>
      </c>
      <c r="M50" s="218">
        <f t="shared" si="17"/>
        <v>0.5255650866235979</v>
      </c>
      <c r="N50" s="164">
        <f>E50-'січень 17'!E50</f>
        <v>600</v>
      </c>
      <c r="O50" s="168">
        <f>F50-'січень 17'!F50</f>
        <v>0</v>
      </c>
      <c r="P50" s="167">
        <f t="shared" si="14"/>
        <v>-600</v>
      </c>
      <c r="Q50" s="165">
        <f t="shared" si="11"/>
        <v>0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47.76</v>
      </c>
      <c r="G51" s="162">
        <f t="shared" si="12"/>
        <v>-92.24000000000001</v>
      </c>
      <c r="H51" s="164">
        <f t="shared" si="15"/>
        <v>34.114285714285714</v>
      </c>
      <c r="I51" s="165">
        <f t="shared" si="13"/>
        <v>-1152.24</v>
      </c>
      <c r="J51" s="165">
        <f t="shared" si="16"/>
        <v>3.9799999999999995</v>
      </c>
      <c r="K51" s="165">
        <v>965.16</v>
      </c>
      <c r="L51" s="165">
        <f t="shared" si="1"/>
        <v>-917.4</v>
      </c>
      <c r="M51" s="218">
        <f t="shared" si="17"/>
        <v>0.0494840233743628</v>
      </c>
      <c r="N51" s="164">
        <f>E51-'січень 17'!E51</f>
        <v>85</v>
      </c>
      <c r="O51" s="168">
        <f>F51-'січень 17'!F51</f>
        <v>7.669999999999995</v>
      </c>
      <c r="P51" s="167">
        <f t="shared" si="14"/>
        <v>-77.33000000000001</v>
      </c>
      <c r="Q51" s="165">
        <f t="shared" si="11"/>
        <v>9.0235294117647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38.87</v>
      </c>
      <c r="G52" s="34">
        <f t="shared" si="12"/>
        <v>-71.13</v>
      </c>
      <c r="H52" s="30">
        <f t="shared" si="15"/>
        <v>35.33636363636363</v>
      </c>
      <c r="I52" s="104">
        <f t="shared" si="13"/>
        <v>-959.13</v>
      </c>
      <c r="J52" s="104">
        <f t="shared" si="16"/>
        <v>3.8947895791583163</v>
      </c>
      <c r="K52" s="104">
        <v>86.43</v>
      </c>
      <c r="L52" s="104">
        <f>F52-K52</f>
        <v>-47.56000000000001</v>
      </c>
      <c r="M52" s="109">
        <f t="shared" si="17"/>
        <v>0.4497281036677079</v>
      </c>
      <c r="N52" s="164">
        <f>E52-'січень 17'!E52</f>
        <v>70</v>
      </c>
      <c r="O52" s="168">
        <f>F52-'січень 17'!F52</f>
        <v>6.059999999999995</v>
      </c>
      <c r="P52" s="106">
        <f t="shared" si="14"/>
        <v>-63.940000000000005</v>
      </c>
      <c r="Q52" s="119">
        <f t="shared" si="11"/>
        <v>8.657142857142851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0.05</v>
      </c>
      <c r="G53" s="34">
        <f t="shared" si="12"/>
        <v>0.05</v>
      </c>
      <c r="H53" s="30" t="e">
        <f t="shared" si="15"/>
        <v>#DIV/0!</v>
      </c>
      <c r="I53" s="104">
        <f t="shared" si="13"/>
        <v>-0.95</v>
      </c>
      <c r="J53" s="104">
        <f t="shared" si="16"/>
        <v>5</v>
      </c>
      <c r="K53" s="104">
        <v>0.08</v>
      </c>
      <c r="L53" s="104">
        <f>F53-K53</f>
        <v>-0.03</v>
      </c>
      <c r="M53" s="109">
        <f t="shared" si="17"/>
        <v>0.625</v>
      </c>
      <c r="N53" s="164">
        <f>E53-'січень 17'!E53</f>
        <v>0</v>
      </c>
      <c r="O53" s="168">
        <f>F53-'січень 17'!F53</f>
        <v>0.04</v>
      </c>
      <c r="P53" s="106">
        <f t="shared" si="14"/>
        <v>0.04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8.84</v>
      </c>
      <c r="G55" s="34">
        <f t="shared" si="12"/>
        <v>-21.16</v>
      </c>
      <c r="H55" s="30">
        <f t="shared" si="15"/>
        <v>29.46666666666667</v>
      </c>
      <c r="I55" s="104">
        <f t="shared" si="13"/>
        <v>-191.16</v>
      </c>
      <c r="J55" s="104">
        <f t="shared" si="16"/>
        <v>4.42</v>
      </c>
      <c r="K55" s="104">
        <v>878.65</v>
      </c>
      <c r="L55" s="104">
        <f>F55-K55</f>
        <v>-869.81</v>
      </c>
      <c r="M55" s="109">
        <f t="shared" si="17"/>
        <v>0.010060888863597564</v>
      </c>
      <c r="N55" s="164">
        <f>E55-'січень 17'!E55</f>
        <v>15</v>
      </c>
      <c r="O55" s="168">
        <f>F55-'січень 17'!F55</f>
        <v>1.5700000000000003</v>
      </c>
      <c r="P55" s="106">
        <f t="shared" si="14"/>
        <v>-13.43</v>
      </c>
      <c r="Q55" s="119">
        <f t="shared" si="11"/>
        <v>10.466666666666669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2349.59</v>
      </c>
      <c r="G57" s="162">
        <f t="shared" si="12"/>
        <v>149.59000000000015</v>
      </c>
      <c r="H57" s="164">
        <f t="shared" si="15"/>
        <v>106.79954545454547</v>
      </c>
      <c r="I57" s="165">
        <f t="shared" si="13"/>
        <v>-5000.41</v>
      </c>
      <c r="J57" s="165">
        <f t="shared" si="16"/>
        <v>31.96721088435374</v>
      </c>
      <c r="K57" s="165">
        <v>722.66</v>
      </c>
      <c r="L57" s="165">
        <f aca="true" t="shared" si="18" ref="L57:L63">F57-K57</f>
        <v>1626.9300000000003</v>
      </c>
      <c r="M57" s="218">
        <f t="shared" si="17"/>
        <v>3.2513076688899347</v>
      </c>
      <c r="N57" s="164">
        <f>E57-'січень 17'!E57</f>
        <v>600</v>
      </c>
      <c r="O57" s="168">
        <f>F57-'січень 17'!F57</f>
        <v>102.26000000000022</v>
      </c>
      <c r="P57" s="167">
        <f t="shared" si="14"/>
        <v>-497.7399999999998</v>
      </c>
      <c r="Q57" s="165">
        <f t="shared" si="11"/>
        <v>17.04333333333337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201.71</v>
      </c>
      <c r="G59" s="162"/>
      <c r="H59" s="164"/>
      <c r="I59" s="165"/>
      <c r="J59" s="165"/>
      <c r="K59" s="166">
        <v>147.3</v>
      </c>
      <c r="L59" s="165">
        <f t="shared" si="18"/>
        <v>54.41</v>
      </c>
      <c r="M59" s="218">
        <f t="shared" si="17"/>
        <v>1.3693822131704005</v>
      </c>
      <c r="N59" s="164">
        <f>E59-'січень 17'!E59</f>
        <v>0</v>
      </c>
      <c r="O59" s="168">
        <f>F59-'січень 17'!F59</f>
        <v>34.5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4.24</v>
      </c>
      <c r="G62" s="162">
        <f t="shared" si="12"/>
        <v>1.7400000000000002</v>
      </c>
      <c r="H62" s="164">
        <f t="shared" si="15"/>
        <v>169.60000000000002</v>
      </c>
      <c r="I62" s="165">
        <f t="shared" si="13"/>
        <v>-10.76</v>
      </c>
      <c r="J62" s="165">
        <f t="shared" si="16"/>
        <v>28.26666666666667</v>
      </c>
      <c r="K62" s="165">
        <v>3.8</v>
      </c>
      <c r="L62" s="165">
        <f t="shared" si="18"/>
        <v>0.4400000000000004</v>
      </c>
      <c r="M62" s="218">
        <f t="shared" si="17"/>
        <v>1.1157894736842107</v>
      </c>
      <c r="N62" s="164">
        <f>E62-'січень 17'!E62</f>
        <v>1.3</v>
      </c>
      <c r="O62" s="168">
        <f>F62-'січень 17'!F62</f>
        <v>2.75</v>
      </c>
      <c r="P62" s="167">
        <f t="shared" si="14"/>
        <v>1.45</v>
      </c>
      <c r="Q62" s="165">
        <f t="shared" si="11"/>
        <v>211.53846153846155</v>
      </c>
      <c r="R62" s="37"/>
      <c r="S62" s="94"/>
      <c r="T62" s="147">
        <f t="shared" si="8"/>
        <v>12.5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>
        <f>E63-'січень 17'!E63</f>
        <v>0</v>
      </c>
      <c r="O63" s="168">
        <f>F63-'січень 17'!F63</f>
        <v>0</v>
      </c>
      <c r="P63" s="167">
        <f t="shared" si="14"/>
        <v>0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113892.71000000002</v>
      </c>
      <c r="G64" s="151">
        <f>F64-E64</f>
        <v>-90129.38999999998</v>
      </c>
      <c r="H64" s="152">
        <f>F64/E64*100</f>
        <v>55.82371223509611</v>
      </c>
      <c r="I64" s="153">
        <f>F64-D64</f>
        <v>-1243598.3900000001</v>
      </c>
      <c r="J64" s="153">
        <f>F64/D64*100</f>
        <v>8.389941562047811</v>
      </c>
      <c r="K64" s="153">
        <v>145343.26</v>
      </c>
      <c r="L64" s="153">
        <f>F64-K64</f>
        <v>-31450.54999999999</v>
      </c>
      <c r="M64" s="219">
        <f>F64/K64</f>
        <v>0.7836119129294334</v>
      </c>
      <c r="N64" s="151">
        <f>N8+N38+N62+N63</f>
        <v>106665.6</v>
      </c>
      <c r="O64" s="151">
        <f>O8+O38+O62+O63</f>
        <v>15806.520000000004</v>
      </c>
      <c r="P64" s="155">
        <f>O64-N64</f>
        <v>-90859.08</v>
      </c>
      <c r="Q64" s="153">
        <f>O64/N64*100</f>
        <v>14.81876068760688</v>
      </c>
      <c r="R64" s="27">
        <f>O64-34768</f>
        <v>-18961.479999999996</v>
      </c>
      <c r="S64" s="115">
        <f>O64/34768</f>
        <v>0.4546283939254488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0.05</v>
      </c>
      <c r="G73" s="162">
        <f aca="true" t="shared" si="19" ref="G73:G84">F73-E73</f>
        <v>0.05</v>
      </c>
      <c r="H73" s="164"/>
      <c r="I73" s="167">
        <f aca="true" t="shared" si="20" ref="I73:I84">F73-D73</f>
        <v>-3999.95</v>
      </c>
      <c r="J73" s="167">
        <f>F73/D73*100</f>
        <v>0.00125</v>
      </c>
      <c r="K73" s="167">
        <v>0.1</v>
      </c>
      <c r="L73" s="167">
        <f aca="true" t="shared" si="21" ref="L73:L84">F73-K73</f>
        <v>-0.05</v>
      </c>
      <c r="M73" s="209">
        <f>F73/K73</f>
        <v>0.5</v>
      </c>
      <c r="N73" s="164">
        <f>E73-'січень 17'!E73</f>
        <v>0</v>
      </c>
      <c r="O73" s="168">
        <f>F73-'січень 17'!F73</f>
        <v>0.010000000000000002</v>
      </c>
      <c r="P73" s="167">
        <f aca="true" t="shared" si="22" ref="P73:P86">O73-N73</f>
        <v>0.010000000000000002</v>
      </c>
      <c r="Q73" s="167" t="e">
        <f>O73/N73*100</f>
        <v>#DIV/0!</v>
      </c>
      <c r="R73" s="38"/>
      <c r="S73" s="97"/>
      <c r="T73" s="147">
        <f t="shared" si="8"/>
        <v>4000</v>
      </c>
      <c r="U73" s="4">
        <v>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1230</v>
      </c>
      <c r="F74" s="181">
        <v>11.69</v>
      </c>
      <c r="G74" s="162">
        <f t="shared" si="19"/>
        <v>-1218.31</v>
      </c>
      <c r="H74" s="164">
        <f>F74/E74*100</f>
        <v>0.9504065040650406</v>
      </c>
      <c r="I74" s="167">
        <f t="shared" si="20"/>
        <v>-7988.31</v>
      </c>
      <c r="J74" s="167">
        <f>F74/D74*100</f>
        <v>0.14612499999999998</v>
      </c>
      <c r="K74" s="167">
        <v>376.67</v>
      </c>
      <c r="L74" s="167">
        <f t="shared" si="21"/>
        <v>-364.98</v>
      </c>
      <c r="M74" s="209">
        <f>F74/K74</f>
        <v>0.03103512358297714</v>
      </c>
      <c r="N74" s="164">
        <f>E74-'січень 17'!E74</f>
        <v>630</v>
      </c>
      <c r="O74" s="168">
        <f>F74-'січень 17'!F74</f>
        <v>9.79</v>
      </c>
      <c r="P74" s="167">
        <f t="shared" si="22"/>
        <v>-620.21</v>
      </c>
      <c r="Q74" s="167">
        <f>O74/N74*100</f>
        <v>1.553968253968254</v>
      </c>
      <c r="R74" s="38"/>
      <c r="S74" s="97"/>
      <c r="T74" s="147">
        <f aca="true" t="shared" si="23" ref="T74:T90">D74-E74</f>
        <v>6770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800</v>
      </c>
      <c r="F75" s="181">
        <v>317.33</v>
      </c>
      <c r="G75" s="162">
        <f t="shared" si="19"/>
        <v>-482.67</v>
      </c>
      <c r="H75" s="164">
        <f>F75/E75*100</f>
        <v>39.66625</v>
      </c>
      <c r="I75" s="167">
        <f t="shared" si="20"/>
        <v>-9682.67</v>
      </c>
      <c r="J75" s="167">
        <f>F75/D75*100</f>
        <v>3.1733</v>
      </c>
      <c r="K75" s="167">
        <v>646.84</v>
      </c>
      <c r="L75" s="167">
        <f t="shared" si="21"/>
        <v>-329.51000000000005</v>
      </c>
      <c r="M75" s="209">
        <f>F75/K75</f>
        <v>0.49058499783563164</v>
      </c>
      <c r="N75" s="164">
        <f>E75-'січень 17'!E75</f>
        <v>400</v>
      </c>
      <c r="O75" s="168">
        <f>F75-'січень 17'!F75</f>
        <v>227.20999999999998</v>
      </c>
      <c r="P75" s="167">
        <f t="shared" si="22"/>
        <v>-172.79000000000002</v>
      </c>
      <c r="Q75" s="167">
        <f>O75/N75*100</f>
        <v>56.8025</v>
      </c>
      <c r="R75" s="38"/>
      <c r="S75" s="97"/>
      <c r="T75" s="147">
        <f t="shared" si="23"/>
        <v>9200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2032</v>
      </c>
      <c r="F77" s="184">
        <f>F73+F74+F75+F76</f>
        <v>331.07</v>
      </c>
      <c r="G77" s="185">
        <f t="shared" si="19"/>
        <v>-1700.93</v>
      </c>
      <c r="H77" s="186">
        <f>F77/E77*100</f>
        <v>16.29281496062992</v>
      </c>
      <c r="I77" s="187">
        <f t="shared" si="20"/>
        <v>-21680.93</v>
      </c>
      <c r="J77" s="187">
        <f>F77/D77*100</f>
        <v>1.5040432491368345</v>
      </c>
      <c r="K77" s="187">
        <v>1025.62</v>
      </c>
      <c r="L77" s="187">
        <f t="shared" si="21"/>
        <v>-694.55</v>
      </c>
      <c r="M77" s="214">
        <f>F77/K77</f>
        <v>0.32279986739728167</v>
      </c>
      <c r="N77" s="185">
        <f>N73+N74+N75+N76</f>
        <v>1031</v>
      </c>
      <c r="O77" s="189">
        <f>O73+O74+O75+O76</f>
        <v>238.01</v>
      </c>
      <c r="P77" s="187">
        <f t="shared" si="22"/>
        <v>-792.99</v>
      </c>
      <c r="Q77" s="187">
        <f>O77/N77*100</f>
        <v>23.085354025218233</v>
      </c>
      <c r="R77" s="39"/>
      <c r="S77" s="116"/>
      <c r="T77" s="147">
        <f t="shared" si="23"/>
        <v>19980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0.01</v>
      </c>
      <c r="L78" s="167">
        <f t="shared" si="21"/>
        <v>0.33</v>
      </c>
      <c r="M78" s="209">
        <f>F78/K78</f>
        <v>34</v>
      </c>
      <c r="N78" s="164">
        <f>E78-'січень 17'!E78</f>
        <v>0</v>
      </c>
      <c r="O78" s="168">
        <f>F78-'січень 17'!F78</f>
        <v>0</v>
      </c>
      <c r="P78" s="167">
        <f t="shared" si="22"/>
        <v>0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15.68</v>
      </c>
      <c r="G80" s="162">
        <f t="shared" si="19"/>
        <v>-2334.32</v>
      </c>
      <c r="H80" s="164">
        <f>F80/E80*100</f>
        <v>0.6672340425531915</v>
      </c>
      <c r="I80" s="167">
        <f t="shared" si="20"/>
        <v>-8344.32</v>
      </c>
      <c r="J80" s="167">
        <f>F80/D80*100</f>
        <v>0.1875598086124402</v>
      </c>
      <c r="K80" s="167">
        <v>2013.66</v>
      </c>
      <c r="L80" s="167">
        <f t="shared" si="21"/>
        <v>-1997.98</v>
      </c>
      <c r="M80" s="209"/>
      <c r="N80" s="164">
        <f>E80-'січень 17'!E80</f>
        <v>2342.5</v>
      </c>
      <c r="O80" s="168">
        <f>F80-'січень 17'!F80</f>
        <v>4.199999999999999</v>
      </c>
      <c r="P80" s="167">
        <f>O80-N80</f>
        <v>-2338.3</v>
      </c>
      <c r="Q80" s="190">
        <f>O80/N80*100</f>
        <v>0.17929562433297758</v>
      </c>
      <c r="R80" s="41"/>
      <c r="S80" s="99"/>
      <c r="T80" s="147">
        <f t="shared" si="23"/>
        <v>6010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>
        <f>E81-'січень 17'!E81</f>
        <v>0</v>
      </c>
      <c r="O81" s="168">
        <f>F81-'січень 17'!F81</f>
        <v>0</v>
      </c>
      <c r="P81" s="167">
        <f t="shared" si="22"/>
        <v>0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16.02</v>
      </c>
      <c r="G82" s="183">
        <f>G78+G81+G79+G80</f>
        <v>-2333.98</v>
      </c>
      <c r="H82" s="186">
        <f>F82/E82*100</f>
        <v>0.6817021276595744</v>
      </c>
      <c r="I82" s="187">
        <f t="shared" si="20"/>
        <v>-8383.98</v>
      </c>
      <c r="J82" s="187">
        <f>F82/D82*100</f>
        <v>0.1907142857142857</v>
      </c>
      <c r="K82" s="187">
        <v>2013.84</v>
      </c>
      <c r="L82" s="187">
        <f t="shared" si="21"/>
        <v>-1997.82</v>
      </c>
      <c r="M82" s="220">
        <f t="shared" si="24"/>
        <v>0.007954951734000714</v>
      </c>
      <c r="N82" s="185">
        <f>N78+N81+N79+N80</f>
        <v>2342.5</v>
      </c>
      <c r="O82" s="189">
        <f>O78+O81+O79+O80</f>
        <v>4.199999999999999</v>
      </c>
      <c r="P82" s="185">
        <f>P78+P81+P79+P80</f>
        <v>-2338.3</v>
      </c>
      <c r="Q82" s="187">
        <f>O82/N82*100</f>
        <v>0.17929562433297758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0.34</v>
      </c>
      <c r="G83" s="162">
        <f t="shared" si="19"/>
        <v>-4.5600000000000005</v>
      </c>
      <c r="H83" s="164">
        <f>F83/E83*100</f>
        <v>6.938775510204081</v>
      </c>
      <c r="I83" s="167">
        <f t="shared" si="20"/>
        <v>-37.66</v>
      </c>
      <c r="J83" s="167">
        <f>F83/D83*100</f>
        <v>0.8947368421052633</v>
      </c>
      <c r="K83" s="167">
        <v>0.69</v>
      </c>
      <c r="L83" s="167">
        <f t="shared" si="21"/>
        <v>-0.3499999999999999</v>
      </c>
      <c r="M83" s="209">
        <f t="shared" si="24"/>
        <v>0.4927536231884059</v>
      </c>
      <c r="N83" s="164">
        <f>E83-'січень 17'!E83</f>
        <v>2.5000000000000004</v>
      </c>
      <c r="O83" s="168">
        <f>F83-'січень 17'!F83</f>
        <v>0</v>
      </c>
      <c r="P83" s="167">
        <f t="shared" si="22"/>
        <v>-2.5000000000000004</v>
      </c>
      <c r="Q83" s="167">
        <f>O83/N83</f>
        <v>0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E71+E83+E77+E82+E84</f>
        <v>4386.9</v>
      </c>
      <c r="F85" s="191">
        <f>F71+F83+F77+F82+F84</f>
        <v>359.25</v>
      </c>
      <c r="G85" s="192">
        <f>F85-E85</f>
        <v>-4027.6499999999996</v>
      </c>
      <c r="H85" s="193">
        <f>F85/E85*100</f>
        <v>8.189154072351776</v>
      </c>
      <c r="I85" s="194">
        <f>F85-D85</f>
        <v>-30090.75</v>
      </c>
      <c r="J85" s="194">
        <f>F85/D85*100</f>
        <v>1.1798029556650247</v>
      </c>
      <c r="K85" s="194">
        <v>3039.87</v>
      </c>
      <c r="L85" s="194">
        <f>F85-K85</f>
        <v>-2680.62</v>
      </c>
      <c r="M85" s="221">
        <f t="shared" si="24"/>
        <v>0.11817939582942692</v>
      </c>
      <c r="N85" s="191">
        <f>N71+N83+N77+N82+N84</f>
        <v>3376</v>
      </c>
      <c r="O85" s="191">
        <f>O71+O83+O77+O82+O84</f>
        <v>242.20999999999998</v>
      </c>
      <c r="P85" s="194">
        <f t="shared" si="22"/>
        <v>-3133.79</v>
      </c>
      <c r="Q85" s="194">
        <f>O85/N85*100</f>
        <v>7.174466824644549</v>
      </c>
      <c r="R85" s="27">
        <f>O85-8104.96</f>
        <v>-7862.75</v>
      </c>
      <c r="S85" s="95">
        <f>O85/8104.96</f>
        <v>0.029884169693619705</v>
      </c>
      <c r="T85" s="147">
        <f t="shared" si="23"/>
        <v>26063.1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208409</v>
      </c>
      <c r="F86" s="191">
        <f>F64+F85</f>
        <v>114251.96000000002</v>
      </c>
      <c r="G86" s="192">
        <f>F86-E86</f>
        <v>-94157.03999999998</v>
      </c>
      <c r="H86" s="193">
        <f>F86/E86*100</f>
        <v>54.82102980197593</v>
      </c>
      <c r="I86" s="194">
        <f>F86-D86</f>
        <v>-1273689.1400000001</v>
      </c>
      <c r="J86" s="194">
        <f>F86/D86*100</f>
        <v>8.231758537880317</v>
      </c>
      <c r="K86" s="194">
        <f>K64+K85</f>
        <v>148383.13</v>
      </c>
      <c r="L86" s="194">
        <f>F86-K86</f>
        <v>-34131.169999999984</v>
      </c>
      <c r="M86" s="221">
        <f t="shared" si="24"/>
        <v>0.769979444428757</v>
      </c>
      <c r="N86" s="192">
        <f>N64+N85</f>
        <v>110041.6</v>
      </c>
      <c r="O86" s="192">
        <f>O64+O85</f>
        <v>16048.730000000003</v>
      </c>
      <c r="P86" s="194">
        <f t="shared" si="22"/>
        <v>-93992.87</v>
      </c>
      <c r="Q86" s="194">
        <f>O86/N86*100</f>
        <v>14.584239051413286</v>
      </c>
      <c r="R86" s="27">
        <f>O86-42872.96</f>
        <v>-26824.229999999996</v>
      </c>
      <c r="S86" s="95">
        <f>O86/42872.96</f>
        <v>0.3743322131245429</v>
      </c>
      <c r="T86" s="147">
        <f t="shared" si="23"/>
        <v>1179532.1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16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>
        <f>IF(P64&lt;0,ABS(P64/C88),0)</f>
        <v>5678.6925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42772</v>
      </c>
      <c r="D90" s="29">
        <v>6442.59</v>
      </c>
      <c r="G90" s="4" t="s">
        <v>58</v>
      </c>
      <c r="O90" s="265"/>
      <c r="P90" s="265"/>
      <c r="T90" s="147">
        <f t="shared" si="23"/>
        <v>6442.59</v>
      </c>
    </row>
    <row r="91" spans="3:16" ht="15">
      <c r="C91" s="81">
        <v>42769</v>
      </c>
      <c r="D91" s="29">
        <v>3148.6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42768</v>
      </c>
      <c r="D92" s="29">
        <v>2135.7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v>228.202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.75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169.84</v>
      </c>
      <c r="G97" s="68">
        <f>G45+G48+G49</f>
        <v>-2.1599999999999966</v>
      </c>
      <c r="H97" s="69"/>
      <c r="I97" s="69"/>
      <c r="N97" s="29">
        <f>N45+N48+N49</f>
        <v>86</v>
      </c>
      <c r="O97" s="202">
        <f>O45+O48+O49</f>
        <v>35.86</v>
      </c>
      <c r="P97" s="29">
        <f>P45+P48+P49</f>
        <v>-50.14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107203.99</v>
      </c>
      <c r="G99" s="29">
        <f>F99-E99</f>
        <v>-89126.51</v>
      </c>
      <c r="H99" s="230">
        <f>F99/E99</f>
        <v>0.546038389348573</v>
      </c>
      <c r="I99" s="29">
        <f>F99-D99</f>
        <v>-1191844.61</v>
      </c>
      <c r="J99" s="230">
        <f>F99/D99</f>
        <v>0.08252500329856789</v>
      </c>
      <c r="N99" s="29">
        <f>N9+N15+N17+N18+N19+N20+N39+N42+N44+N56+N62+N63</f>
        <v>101968.6</v>
      </c>
      <c r="O99" s="229">
        <f>O9+O15+O17+O18+O19+O20+O39+O42+O44+O56+O62+O63</f>
        <v>13335.680000000002</v>
      </c>
      <c r="P99" s="29">
        <f>O99-N99</f>
        <v>-88632.92</v>
      </c>
      <c r="Q99" s="230">
        <f>O99/N99</f>
        <v>0.13078222119358313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6688.72</v>
      </c>
      <c r="G100" s="29">
        <f>G40+G41+G43+G45+G47+G48+G49+G50+G51+G57+G61+G44</f>
        <v>-1002.8799999999997</v>
      </c>
      <c r="H100" s="230">
        <f>F100/E100</f>
        <v>0.8696136044516095</v>
      </c>
      <c r="I100" s="29">
        <f>I40+I41+I43+I45+I47+I48+I49+I50+I51+I57+I61+I44</f>
        <v>-51753.78000000001</v>
      </c>
      <c r="J100" s="230">
        <f>F100/D100</f>
        <v>0.1144495872010951</v>
      </c>
      <c r="K100" s="29">
        <f aca="true" t="shared" si="25" ref="K100:P100">K40+K41+K43+K45+K47+K48+K49+K50+K51+K57+K61+K44</f>
        <v>4835.679999999999</v>
      </c>
      <c r="L100" s="29">
        <f t="shared" si="25"/>
        <v>1853.0400000000006</v>
      </c>
      <c r="M100" s="29">
        <f t="shared" si="25"/>
        <v>10.69297235944951</v>
      </c>
      <c r="N100" s="29">
        <f t="shared" si="25"/>
        <v>4703.8</v>
      </c>
      <c r="O100" s="229">
        <f t="shared" si="25"/>
        <v>2470.840000000001</v>
      </c>
      <c r="P100" s="29">
        <f t="shared" si="25"/>
        <v>-2226.1599999999994</v>
      </c>
      <c r="Q100" s="230">
        <f>O100/N100</f>
        <v>0.5252859390280201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113892.71</v>
      </c>
      <c r="G101" s="29">
        <f t="shared" si="26"/>
        <v>-90129.39</v>
      </c>
      <c r="H101" s="230">
        <f>F101/E101</f>
        <v>0.558237122350961</v>
      </c>
      <c r="I101" s="29">
        <f t="shared" si="26"/>
        <v>-1243598.3900000001</v>
      </c>
      <c r="J101" s="230">
        <f>F101/D101</f>
        <v>0.0838994156204781</v>
      </c>
      <c r="K101" s="29">
        <f t="shared" si="26"/>
        <v>4835.679999999999</v>
      </c>
      <c r="L101" s="29">
        <f t="shared" si="26"/>
        <v>1853.0400000000006</v>
      </c>
      <c r="M101" s="29">
        <f t="shared" si="26"/>
        <v>10.69297235944951</v>
      </c>
      <c r="N101" s="29">
        <f t="shared" si="26"/>
        <v>106672.40000000001</v>
      </c>
      <c r="O101" s="229">
        <f t="shared" si="26"/>
        <v>15806.520000000004</v>
      </c>
      <c r="P101" s="29">
        <f t="shared" si="26"/>
        <v>-90859.08</v>
      </c>
      <c r="Q101" s="230">
        <f>O101/N101</f>
        <v>0.14817816042387724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0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-33303.58999999999</v>
      </c>
      <c r="M102" s="29">
        <f t="shared" si="27"/>
        <v>-9.909360446520076</v>
      </c>
      <c r="N102" s="29">
        <f t="shared" si="27"/>
        <v>-6.80000000000291</v>
      </c>
      <c r="O102" s="29">
        <f t="shared" si="27"/>
        <v>0</v>
      </c>
      <c r="P102" s="29">
        <f t="shared" si="27"/>
        <v>0</v>
      </c>
      <c r="Q102" s="29"/>
      <c r="R102" s="29">
        <f t="shared" si="27"/>
        <v>-18961.479999999996</v>
      </c>
      <c r="S102" s="29">
        <f t="shared" si="27"/>
        <v>0.4546283939254488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2" sqref="G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8" t="s">
        <v>144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134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123</v>
      </c>
      <c r="O3" s="251" t="s">
        <v>118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135</v>
      </c>
      <c r="F4" s="254" t="s">
        <v>33</v>
      </c>
      <c r="G4" s="256" t="s">
        <v>136</v>
      </c>
      <c r="H4" s="249" t="s">
        <v>137</v>
      </c>
      <c r="I4" s="256" t="s">
        <v>138</v>
      </c>
      <c r="J4" s="249" t="s">
        <v>139</v>
      </c>
      <c r="K4" s="85" t="s">
        <v>141</v>
      </c>
      <c r="L4" s="204" t="s">
        <v>113</v>
      </c>
      <c r="M4" s="90" t="s">
        <v>63</v>
      </c>
      <c r="N4" s="249"/>
      <c r="O4" s="258" t="s">
        <v>124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142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265"/>
      <c r="P90" s="265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42762</v>
      </c>
      <c r="D92" s="29">
        <v>8862.4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f>9505303.41/1000</f>
        <v>9505.30341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.75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9" sqref="C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38" t="s">
        <v>132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126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129</v>
      </c>
      <c r="O3" s="251" t="s">
        <v>125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127</v>
      </c>
      <c r="F4" s="254" t="s">
        <v>33</v>
      </c>
      <c r="G4" s="256" t="s">
        <v>128</v>
      </c>
      <c r="H4" s="249" t="s">
        <v>122</v>
      </c>
      <c r="I4" s="256" t="s">
        <v>103</v>
      </c>
      <c r="J4" s="249" t="s">
        <v>104</v>
      </c>
      <c r="K4" s="85" t="s">
        <v>114</v>
      </c>
      <c r="L4" s="204" t="s">
        <v>113</v>
      </c>
      <c r="M4" s="90" t="s">
        <v>63</v>
      </c>
      <c r="N4" s="249"/>
      <c r="O4" s="258" t="s">
        <v>133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130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65"/>
      <c r="P90" s="265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42732</v>
      </c>
      <c r="D92" s="29">
        <v>19085.6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f>'[1]залишки  (2)'!$G$6/1000</f>
        <v>228.202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2017-02-07T10:37:24Z</cp:lastPrinted>
  <dcterms:created xsi:type="dcterms:W3CDTF">2003-07-28T11:27:56Z</dcterms:created>
  <dcterms:modified xsi:type="dcterms:W3CDTF">2017-02-07T10:58:04Z</dcterms:modified>
  <cp:category/>
  <cp:version/>
  <cp:contentType/>
  <cp:contentStatus/>
</cp:coreProperties>
</file>